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EE3B01B2-2BCC-4437-85E6-0F9D8A4AB701}" xr6:coauthVersionLast="47" xr6:coauthVersionMax="47" xr10:uidLastSave="{00000000-0000-0000-0000-000000000000}"/>
  <bookViews>
    <workbookView xWindow="-120" yWindow="-120" windowWidth="20730" windowHeight="11160" xr2:uid="{915B3649-9BB7-4F45-9534-588FC5264F31}"/>
  </bookViews>
  <sheets>
    <sheet name="Resul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3" i="2" l="1"/>
  <c r="S10" i="2"/>
  <c r="S32" i="2"/>
  <c r="S17" i="2"/>
  <c r="S56" i="2"/>
  <c r="S51" i="2"/>
  <c r="S40" i="2"/>
  <c r="S35" i="2"/>
  <c r="S24" i="2"/>
  <c r="S23" i="2"/>
  <c r="S13" i="2"/>
  <c r="S12" i="2"/>
  <c r="S42" i="2"/>
  <c r="S61" i="2"/>
  <c r="S18" i="2"/>
  <c r="S36" i="2"/>
  <c r="S29" i="2"/>
  <c r="S54" i="2"/>
  <c r="S25" i="2"/>
  <c r="S44" i="2"/>
  <c r="S11" i="2"/>
  <c r="S49" i="2"/>
  <c r="S20" i="2"/>
  <c r="S19" i="2"/>
  <c r="S33" i="2"/>
  <c r="S28" i="2"/>
  <c r="S53" i="2"/>
  <c r="S48" i="2"/>
  <c r="S41" i="2"/>
  <c r="S39" i="2"/>
  <c r="S30" i="2"/>
  <c r="S15" i="2"/>
  <c r="S14" i="2"/>
  <c r="S60" i="2"/>
  <c r="S50" i="2"/>
  <c r="S52" i="2"/>
  <c r="S46" i="2"/>
  <c r="S58" i="2"/>
  <c r="S45" i="2"/>
  <c r="S26" i="2"/>
  <c r="S37" i="2"/>
  <c r="S22" i="2"/>
  <c r="B63" i="2"/>
  <c r="A63" i="2"/>
  <c r="B10" i="2"/>
  <c r="A10" i="2"/>
  <c r="B32" i="2"/>
  <c r="A32" i="2"/>
  <c r="B17" i="2"/>
  <c r="A17" i="2"/>
  <c r="B56" i="2"/>
  <c r="A56" i="2"/>
  <c r="B51" i="2"/>
  <c r="A51" i="2"/>
  <c r="B40" i="2"/>
  <c r="A40" i="2"/>
  <c r="B35" i="2"/>
  <c r="A35" i="2"/>
  <c r="B24" i="2"/>
  <c r="A24" i="2"/>
  <c r="B23" i="2"/>
  <c r="A23" i="2"/>
  <c r="B13" i="2"/>
  <c r="A13" i="2"/>
  <c r="B12" i="2"/>
  <c r="A12" i="2"/>
  <c r="B42" i="2"/>
  <c r="A42" i="2"/>
  <c r="B61" i="2"/>
  <c r="A61" i="2"/>
  <c r="B18" i="2"/>
  <c r="A18" i="2"/>
  <c r="B36" i="2"/>
  <c r="A36" i="2"/>
  <c r="B29" i="2"/>
  <c r="A29" i="2"/>
  <c r="B54" i="2"/>
  <c r="A54" i="2"/>
  <c r="B25" i="2"/>
  <c r="A25" i="2"/>
  <c r="B44" i="2"/>
  <c r="A44" i="2"/>
  <c r="B11" i="2"/>
  <c r="A11" i="2"/>
  <c r="B49" i="2"/>
  <c r="A49" i="2"/>
  <c r="B20" i="2"/>
  <c r="A20" i="2"/>
  <c r="B19" i="2"/>
  <c r="A19" i="2"/>
  <c r="B33" i="2"/>
  <c r="A33" i="2"/>
  <c r="B28" i="2"/>
  <c r="A28" i="2"/>
  <c r="B53" i="2"/>
  <c r="A53" i="2"/>
  <c r="B48" i="2"/>
  <c r="A48" i="2"/>
  <c r="B41" i="2"/>
  <c r="A41" i="2"/>
  <c r="B39" i="2"/>
  <c r="A39" i="2"/>
  <c r="B30" i="2"/>
  <c r="A30" i="2"/>
  <c r="B15" i="2"/>
  <c r="A15" i="2"/>
  <c r="B14" i="2"/>
  <c r="A14" i="2"/>
  <c r="B60" i="2"/>
  <c r="A60" i="2"/>
  <c r="B50" i="2"/>
  <c r="A50" i="2"/>
  <c r="B52" i="2"/>
  <c r="A52" i="2"/>
  <c r="B46" i="2"/>
  <c r="A46" i="2"/>
  <c r="B45" i="2"/>
  <c r="A45" i="2"/>
  <c r="B26" i="2"/>
  <c r="A26" i="2"/>
  <c r="B37" i="2"/>
  <c r="A37" i="2"/>
  <c r="B22" i="2"/>
  <c r="A22" i="2"/>
</calcChain>
</file>

<file path=xl/sharedStrings.xml><?xml version="1.0" encoding="utf-8"?>
<sst xmlns="http://schemas.openxmlformats.org/spreadsheetml/2006/main" count="318" uniqueCount="161">
  <si>
    <t>Waltham Chase Trials MCC</t>
  </si>
  <si>
    <t>The Geoff Chandler Trophy Trial (Permit ACU 63983)</t>
  </si>
  <si>
    <t>At Bunny Lane, Sherfield English on Sunday 28th August 2022</t>
  </si>
  <si>
    <t>No.</t>
  </si>
  <si>
    <t>ACU No.</t>
  </si>
  <si>
    <t>Name</t>
  </si>
  <si>
    <t>Class</t>
  </si>
  <si>
    <t>Route</t>
  </si>
  <si>
    <t>Machine</t>
  </si>
  <si>
    <t>Club</t>
  </si>
  <si>
    <t>Pre-65 D</t>
  </si>
  <si>
    <t>Yellow</t>
  </si>
  <si>
    <t>BSA Bantam 175</t>
  </si>
  <si>
    <t>Pre-65 C</t>
  </si>
  <si>
    <t>White</t>
  </si>
  <si>
    <t>Thomas</t>
  </si>
  <si>
    <t>Moss</t>
  </si>
  <si>
    <t>Expert</t>
  </si>
  <si>
    <t>Green</t>
  </si>
  <si>
    <t>Honda MRT 300</t>
  </si>
  <si>
    <t>Eastbourne &amp; District MCC</t>
  </si>
  <si>
    <t>Andy</t>
  </si>
  <si>
    <t>Withers</t>
  </si>
  <si>
    <t>BSA B40</t>
  </si>
  <si>
    <t>XHG Tiger MCC Ltd</t>
  </si>
  <si>
    <t>Glenn</t>
  </si>
  <si>
    <t>Bailey</t>
  </si>
  <si>
    <t>TRRS 300</t>
  </si>
  <si>
    <t>Waterside MCC</t>
  </si>
  <si>
    <t>Mark</t>
  </si>
  <si>
    <t>Novice</t>
  </si>
  <si>
    <t>Antony</t>
  </si>
  <si>
    <t>Billingham</t>
  </si>
  <si>
    <t>Twin Shock C</t>
  </si>
  <si>
    <t>yamaha</t>
  </si>
  <si>
    <t>Billy</t>
  </si>
  <si>
    <t>Guilford</t>
  </si>
  <si>
    <t>Youth C</t>
  </si>
  <si>
    <t>Oset 20R</t>
  </si>
  <si>
    <t>Veteran</t>
  </si>
  <si>
    <t>Machinek</t>
  </si>
  <si>
    <t>Honda TLR 200</t>
  </si>
  <si>
    <t>Clubman Expert</t>
  </si>
  <si>
    <t>50/50 Green-Red</t>
  </si>
  <si>
    <t>Gas Gas 250</t>
  </si>
  <si>
    <t>Shamus</t>
  </si>
  <si>
    <t>Doohan</t>
  </si>
  <si>
    <t>TRS 250</t>
  </si>
  <si>
    <t>David</t>
  </si>
  <si>
    <t>Henvest</t>
  </si>
  <si>
    <t>Montesa 4RT 260</t>
  </si>
  <si>
    <t>Ringwood MC &amp; LCC</t>
  </si>
  <si>
    <t>James</t>
  </si>
  <si>
    <t>Gas Gas 125</t>
  </si>
  <si>
    <t>Mike</t>
  </si>
  <si>
    <t>Hinton</t>
  </si>
  <si>
    <t>Clubman</t>
  </si>
  <si>
    <t>Red-Blue</t>
  </si>
  <si>
    <t>Vertigo 250</t>
  </si>
  <si>
    <t>Peter</t>
  </si>
  <si>
    <t>Gas Gas 300</t>
  </si>
  <si>
    <t>Barry</t>
  </si>
  <si>
    <t>Hickman</t>
  </si>
  <si>
    <t>Yamaha</t>
  </si>
  <si>
    <t>Owen</t>
  </si>
  <si>
    <t>Sportsman</t>
  </si>
  <si>
    <t>Gas Gas 370</t>
  </si>
  <si>
    <t>Scott</t>
  </si>
  <si>
    <t>Brian</t>
  </si>
  <si>
    <t>TRS 300</t>
  </si>
  <si>
    <t>Stephen</t>
  </si>
  <si>
    <t>Wagstaff</t>
  </si>
  <si>
    <t>Sherco 125</t>
  </si>
  <si>
    <t>Robert</t>
  </si>
  <si>
    <t>Hampton</t>
  </si>
  <si>
    <t>Martin</t>
  </si>
  <si>
    <t>Carter</t>
  </si>
  <si>
    <t>Nick</t>
  </si>
  <si>
    <t>Gary</t>
  </si>
  <si>
    <t>Tarrant</t>
  </si>
  <si>
    <t>Gas Gas</t>
  </si>
  <si>
    <t>Andrew</t>
  </si>
  <si>
    <t>Somerton</t>
  </si>
  <si>
    <t>Elms</t>
  </si>
  <si>
    <t>Beta Evo Factory 250</t>
  </si>
  <si>
    <t>Beta Evo 250</t>
  </si>
  <si>
    <t>Geoff</t>
  </si>
  <si>
    <t>Muston</t>
  </si>
  <si>
    <t>Honda TL 125</t>
  </si>
  <si>
    <t>Lloyd</t>
  </si>
  <si>
    <t>Francis</t>
  </si>
  <si>
    <t>TRS RR 300</t>
  </si>
  <si>
    <t>Ivan</t>
  </si>
  <si>
    <t>Stainforth</t>
  </si>
  <si>
    <t>Honda 300</t>
  </si>
  <si>
    <t>John</t>
  </si>
  <si>
    <t>Trevor</t>
  </si>
  <si>
    <t>Newell</t>
  </si>
  <si>
    <t>Royal Enfield 350</t>
  </si>
  <si>
    <t>Kilbey</t>
  </si>
  <si>
    <t>Beta Evo 300</t>
  </si>
  <si>
    <t>Theo</t>
  </si>
  <si>
    <t>Lanham</t>
  </si>
  <si>
    <t>Trials</t>
  </si>
  <si>
    <t>Youth D</t>
  </si>
  <si>
    <t>Greg</t>
  </si>
  <si>
    <t>Seymour</t>
  </si>
  <si>
    <t>Hanslip</t>
  </si>
  <si>
    <t>Sherco ST 300</t>
  </si>
  <si>
    <t>Graham</t>
  </si>
  <si>
    <t>King</t>
  </si>
  <si>
    <t>Jack</t>
  </si>
  <si>
    <t>Stiles</t>
  </si>
  <si>
    <t>Stiles Garage Gas Gas 300</t>
  </si>
  <si>
    <t>Ben</t>
  </si>
  <si>
    <t>Smith</t>
  </si>
  <si>
    <t>Jim</t>
  </si>
  <si>
    <t>Gray</t>
  </si>
  <si>
    <t>Carl</t>
  </si>
  <si>
    <t>Barr</t>
  </si>
  <si>
    <t>TRS ONE R 250</t>
  </si>
  <si>
    <t>Pattison</t>
  </si>
  <si>
    <t>Scorpa 143</t>
  </si>
  <si>
    <t>Taylor</t>
  </si>
  <si>
    <t>Burnell</t>
  </si>
  <si>
    <t>Youth B</t>
  </si>
  <si>
    <t>Reigate and Redhill North Downs MCC</t>
  </si>
  <si>
    <t>Hosford</t>
  </si>
  <si>
    <t>Montesa 4RT 250</t>
  </si>
  <si>
    <t>Miles</t>
  </si>
  <si>
    <t>Triumph 5TA</t>
  </si>
  <si>
    <t>Keith</t>
  </si>
  <si>
    <t>Hitchings</t>
  </si>
  <si>
    <t>Beta Rev3 270</t>
  </si>
  <si>
    <t>Sam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</si>
  <si>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</si>
  <si>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</si>
  <si>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</si>
  <si>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</si>
  <si>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</si>
  <si>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</si>
  <si>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</si>
  <si>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</si>
  <si>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</si>
  <si>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</si>
  <si>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</si>
  <si>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Pos.</t>
  </si>
  <si>
    <t>Total</t>
  </si>
  <si>
    <t xml:space="preserve">Ariel 500 </t>
  </si>
  <si>
    <t>Mik</t>
  </si>
  <si>
    <t>Tim</t>
  </si>
  <si>
    <t>Gattrel</t>
  </si>
  <si>
    <t>Dan</t>
  </si>
  <si>
    <t>1st</t>
  </si>
  <si>
    <t>2nd</t>
  </si>
  <si>
    <t>3rd</t>
  </si>
  <si>
    <t>4th</t>
  </si>
  <si>
    <t>5th</t>
  </si>
  <si>
    <t>6th</t>
  </si>
  <si>
    <t>Youth C - Electric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</si>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</sst>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BC91-FEEA-4BB8-AD56-32BD6DF5A643}">
  <dimension ref="A1:U63"/>
  <sheetViews>
    <sheetView tabSelected="1" topLeftCell="H49" workbookViewId="0">
      <selection activeCell="U50" sqref="U50"/>
    </sheetView>
  </sheetViews>
  <sheetFormatPr defaultRowHeight="15.75" x14ac:dyDescent="0.25"/>
  <cols>
    <col min="1" max="1" width="7.5703125" style="14" customWidth="1"/>
    <col min="2" max="2" width="16" style="14" bestFit="1" customWidth="1"/>
    <col min="3" max="3" width="13.42578125" style="15" customWidth="1"/>
    <col min="4" max="4" width="12.28515625" style="15" customWidth="1"/>
    <col min="5" max="5" width="19.5703125" style="15" customWidth="1"/>
    <col min="6" max="6" width="24.42578125" style="14" customWidth="1"/>
    <col min="7" max="7" width="29.5703125" style="15" customWidth="1"/>
    <col min="8" max="8" width="41.5703125" style="15" customWidth="1"/>
    <col min="9" max="18" width="8.7109375" style="16" customWidth="1"/>
    <col min="19" max="19" width="9.140625" style="23" customWidth="1"/>
    <col min="20" max="20" width="9.140625" style="16"/>
    <col min="21" max="21" width="6.5703125" style="16" customWidth="1"/>
  </cols>
  <sheetData>
    <row r="1" spans="1:21" x14ac:dyDescent="0.25">
      <c r="A1" s="26" t="s">
        <v>135</v>
      </c>
      <c r="B1" s="26"/>
      <c r="C1" s="26"/>
      <c r="D1" s="26"/>
      <c r="E1" s="26"/>
      <c r="F1" s="26"/>
      <c r="G1" s="26"/>
      <c r="H1" s="26"/>
    </row>
    <row r="2" spans="1:21" x14ac:dyDescent="0.25">
      <c r="A2" s="1"/>
      <c r="B2" s="1"/>
      <c r="C2" s="1"/>
      <c r="D2" s="1"/>
      <c r="E2" s="1"/>
      <c r="F2" s="1"/>
      <c r="G2" s="2"/>
      <c r="H2" s="1"/>
    </row>
    <row r="3" spans="1:21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21" x14ac:dyDescent="0.25">
      <c r="A4" s="1"/>
      <c r="B4" s="1"/>
      <c r="C4" s="2"/>
      <c r="D4" s="2"/>
      <c r="E4" s="2"/>
      <c r="F4" s="1"/>
      <c r="G4" s="2"/>
      <c r="H4" s="2"/>
    </row>
    <row r="5" spans="1:21" x14ac:dyDescent="0.25">
      <c r="A5" s="26" t="s">
        <v>1</v>
      </c>
      <c r="B5" s="26"/>
      <c r="C5" s="26"/>
      <c r="D5" s="26"/>
      <c r="E5" s="26"/>
      <c r="F5" s="26"/>
      <c r="G5" s="26"/>
      <c r="H5" s="26"/>
    </row>
    <row r="6" spans="1:21" x14ac:dyDescent="0.25">
      <c r="A6" s="1"/>
      <c r="B6" s="1"/>
      <c r="C6" s="2"/>
      <c r="D6" s="2"/>
      <c r="E6" s="2"/>
      <c r="F6" s="1"/>
      <c r="G6" s="2"/>
      <c r="H6" s="2"/>
    </row>
    <row r="7" spans="1:21" x14ac:dyDescent="0.25">
      <c r="A7" s="26" t="s">
        <v>2</v>
      </c>
      <c r="B7" s="26"/>
      <c r="C7" s="26"/>
      <c r="D7" s="26"/>
      <c r="E7" s="26"/>
      <c r="F7" s="26"/>
      <c r="G7" s="26"/>
      <c r="H7" s="26"/>
    </row>
    <row r="9" spans="1:21" s="5" customFormat="1" ht="18" customHeight="1" x14ac:dyDescent="0.25">
      <c r="A9" s="3" t="s">
        <v>3</v>
      </c>
      <c r="B9" s="3" t="s">
        <v>4</v>
      </c>
      <c r="C9" s="27" t="s">
        <v>5</v>
      </c>
      <c r="D9" s="27"/>
      <c r="E9" s="3" t="s">
        <v>6</v>
      </c>
      <c r="F9" s="3" t="s">
        <v>7</v>
      </c>
      <c r="G9" s="4" t="s">
        <v>8</v>
      </c>
      <c r="H9" s="17" t="s">
        <v>9</v>
      </c>
      <c r="I9" s="21" t="s">
        <v>136</v>
      </c>
      <c r="J9" s="21" t="s">
        <v>137</v>
      </c>
      <c r="K9" s="21" t="s">
        <v>138</v>
      </c>
      <c r="L9" s="21" t="s">
        <v>139</v>
      </c>
      <c r="M9" s="21" t="s">
        <v>140</v>
      </c>
      <c r="N9" s="21" t="s">
        <v>141</v>
      </c>
      <c r="O9" s="21" t="s">
        <v>142</v>
      </c>
      <c r="P9" s="21" t="s">
        <v>143</v>
      </c>
      <c r="Q9" s="21" t="s">
        <v>144</v>
      </c>
      <c r="R9" s="21" t="s">
        <v>145</v>
      </c>
      <c r="S9" s="21" t="s">
        <v>147</v>
      </c>
      <c r="T9" s="21" t="s">
        <v>146</v>
      </c>
      <c r="U9" s="21" t="s">
        <v>160</v>
      </c>
    </row>
    <row r="10" spans="1:21" s="7" customFormat="1" ht="18" customHeight="1" x14ac:dyDescent="0.25">
      <c r="A10" s="8" t="str">
        <f>("803")</f>
        <v>803</v>
      </c>
      <c r="B10" s="8" t="str">
        <f>("207855")</f>
        <v>207855</v>
      </c>
      <c r="C10" s="9" t="s">
        <v>131</v>
      </c>
      <c r="D10" s="9" t="s">
        <v>132</v>
      </c>
      <c r="E10" s="9" t="s">
        <v>56</v>
      </c>
      <c r="F10" s="6" t="s">
        <v>57</v>
      </c>
      <c r="G10" s="9" t="s">
        <v>133</v>
      </c>
      <c r="H10" s="18" t="s">
        <v>51</v>
      </c>
      <c r="I10" s="22">
        <v>2</v>
      </c>
      <c r="J10" s="22">
        <v>1</v>
      </c>
      <c r="K10" s="22">
        <v>4</v>
      </c>
      <c r="L10" s="22">
        <v>0</v>
      </c>
      <c r="M10" s="22">
        <v>0</v>
      </c>
      <c r="N10" s="22">
        <v>1</v>
      </c>
      <c r="O10" s="22">
        <v>0</v>
      </c>
      <c r="P10" s="22">
        <v>7</v>
      </c>
      <c r="Q10" s="22">
        <v>1</v>
      </c>
      <c r="R10" s="22">
        <v>1</v>
      </c>
      <c r="S10" s="3">
        <f t="shared" ref="S10:S15" si="0">SUM(I10:R10)</f>
        <v>17</v>
      </c>
      <c r="T10" s="22" t="s">
        <v>153</v>
      </c>
      <c r="U10" s="22">
        <v>20</v>
      </c>
    </row>
    <row r="11" spans="1:21" s="7" customFormat="1" ht="18" customHeight="1" x14ac:dyDescent="0.25">
      <c r="A11" s="8" t="str">
        <f>("225")</f>
        <v>225</v>
      </c>
      <c r="B11" s="8" t="str">
        <f>("54396")</f>
        <v>54396</v>
      </c>
      <c r="C11" s="9" t="s">
        <v>29</v>
      </c>
      <c r="D11" s="9" t="s">
        <v>83</v>
      </c>
      <c r="E11" s="9" t="s">
        <v>56</v>
      </c>
      <c r="F11" s="6" t="s">
        <v>57</v>
      </c>
      <c r="G11" s="9" t="s">
        <v>84</v>
      </c>
      <c r="H11" s="18" t="s">
        <v>0</v>
      </c>
      <c r="I11" s="22">
        <v>3</v>
      </c>
      <c r="J11" s="22">
        <v>0</v>
      </c>
      <c r="K11" s="22">
        <v>0</v>
      </c>
      <c r="L11" s="22">
        <v>5</v>
      </c>
      <c r="M11" s="22">
        <v>0</v>
      </c>
      <c r="N11" s="22">
        <v>2</v>
      </c>
      <c r="O11" s="22">
        <v>0</v>
      </c>
      <c r="P11" s="22">
        <v>7</v>
      </c>
      <c r="Q11" s="22">
        <v>0</v>
      </c>
      <c r="R11" s="22">
        <v>1</v>
      </c>
      <c r="S11" s="3">
        <f t="shared" si="0"/>
        <v>18</v>
      </c>
      <c r="T11" s="22" t="s">
        <v>154</v>
      </c>
      <c r="U11" s="22">
        <v>17</v>
      </c>
    </row>
    <row r="12" spans="1:21" s="7" customFormat="1" ht="18" customHeight="1" x14ac:dyDescent="0.25">
      <c r="A12" s="8" t="str">
        <f>("420")</f>
        <v>420</v>
      </c>
      <c r="B12" s="8" t="str">
        <f>("164717")</f>
        <v>164717</v>
      </c>
      <c r="C12" s="9" t="s">
        <v>152</v>
      </c>
      <c r="D12" s="9" t="s">
        <v>107</v>
      </c>
      <c r="E12" s="9" t="s">
        <v>56</v>
      </c>
      <c r="F12" s="6" t="s">
        <v>57</v>
      </c>
      <c r="G12" s="9" t="s">
        <v>108</v>
      </c>
      <c r="H12" s="18" t="s">
        <v>0</v>
      </c>
      <c r="I12" s="22">
        <v>5</v>
      </c>
      <c r="J12" s="22">
        <v>0</v>
      </c>
      <c r="K12" s="22">
        <v>1</v>
      </c>
      <c r="L12" s="22">
        <v>0</v>
      </c>
      <c r="M12" s="22">
        <v>5</v>
      </c>
      <c r="N12" s="22">
        <v>3</v>
      </c>
      <c r="O12" s="22">
        <v>0</v>
      </c>
      <c r="P12" s="22">
        <v>6</v>
      </c>
      <c r="Q12" s="22">
        <v>0</v>
      </c>
      <c r="R12" s="22">
        <v>0</v>
      </c>
      <c r="S12" s="3">
        <f t="shared" si="0"/>
        <v>20</v>
      </c>
      <c r="T12" s="22" t="s">
        <v>155</v>
      </c>
      <c r="U12" s="22">
        <v>15</v>
      </c>
    </row>
    <row r="13" spans="1:21" s="7" customFormat="1" ht="18" customHeight="1" x14ac:dyDescent="0.25">
      <c r="A13" s="8" t="str">
        <f>("436")</f>
        <v>436</v>
      </c>
      <c r="B13" s="8" t="str">
        <f>("8130")</f>
        <v>8130</v>
      </c>
      <c r="C13" s="9" t="s">
        <v>109</v>
      </c>
      <c r="D13" s="9" t="s">
        <v>110</v>
      </c>
      <c r="E13" s="9" t="s">
        <v>56</v>
      </c>
      <c r="F13" s="6" t="s">
        <v>57</v>
      </c>
      <c r="G13" s="9" t="s">
        <v>100</v>
      </c>
      <c r="H13" s="18" t="s">
        <v>51</v>
      </c>
      <c r="I13" s="22">
        <v>4</v>
      </c>
      <c r="J13" s="22">
        <v>0</v>
      </c>
      <c r="K13" s="22">
        <v>0</v>
      </c>
      <c r="L13" s="22">
        <v>0</v>
      </c>
      <c r="M13" s="22">
        <v>6</v>
      </c>
      <c r="N13" s="22">
        <v>3</v>
      </c>
      <c r="O13" s="22">
        <v>0</v>
      </c>
      <c r="P13" s="22">
        <v>10</v>
      </c>
      <c r="Q13" s="22">
        <v>0</v>
      </c>
      <c r="R13" s="22">
        <v>1</v>
      </c>
      <c r="S13" s="3">
        <f t="shared" si="0"/>
        <v>24</v>
      </c>
      <c r="T13" s="22" t="s">
        <v>156</v>
      </c>
      <c r="U13" s="22">
        <v>13</v>
      </c>
    </row>
    <row r="14" spans="1:21" s="7" customFormat="1" ht="18" customHeight="1" x14ac:dyDescent="0.25">
      <c r="A14" s="8" t="str">
        <f>("109")</f>
        <v>109</v>
      </c>
      <c r="B14" s="8" t="str">
        <f>("198403")</f>
        <v>198403</v>
      </c>
      <c r="C14" s="9" t="s">
        <v>54</v>
      </c>
      <c r="D14" s="9" t="s">
        <v>55</v>
      </c>
      <c r="E14" s="9" t="s">
        <v>56</v>
      </c>
      <c r="F14" s="6" t="s">
        <v>57</v>
      </c>
      <c r="G14" s="9" t="s">
        <v>58</v>
      </c>
      <c r="H14" s="18" t="s">
        <v>51</v>
      </c>
      <c r="I14" s="22">
        <v>0</v>
      </c>
      <c r="J14" s="22">
        <v>3</v>
      </c>
      <c r="K14" s="22">
        <v>5</v>
      </c>
      <c r="L14" s="22">
        <v>0</v>
      </c>
      <c r="M14" s="22">
        <v>3</v>
      </c>
      <c r="N14" s="22">
        <v>3</v>
      </c>
      <c r="O14" s="22">
        <v>1</v>
      </c>
      <c r="P14" s="22">
        <v>7</v>
      </c>
      <c r="Q14" s="22">
        <v>3</v>
      </c>
      <c r="R14" s="22">
        <v>3</v>
      </c>
      <c r="S14" s="3">
        <f t="shared" si="0"/>
        <v>28</v>
      </c>
      <c r="T14" s="22" t="s">
        <v>157</v>
      </c>
      <c r="U14" s="22">
        <v>11</v>
      </c>
    </row>
    <row r="15" spans="1:21" s="7" customFormat="1" ht="18" customHeight="1" x14ac:dyDescent="0.25">
      <c r="A15" s="8" t="str">
        <f>("110")</f>
        <v>110</v>
      </c>
      <c r="B15" s="8" t="str">
        <f>("87403")</f>
        <v>87403</v>
      </c>
      <c r="C15" s="9" t="s">
        <v>59</v>
      </c>
      <c r="D15" s="9" t="s">
        <v>55</v>
      </c>
      <c r="E15" s="9" t="s">
        <v>56</v>
      </c>
      <c r="F15" s="6" t="s">
        <v>57</v>
      </c>
      <c r="G15" s="9" t="s">
        <v>60</v>
      </c>
      <c r="H15" s="18" t="s">
        <v>0</v>
      </c>
      <c r="I15" s="22">
        <v>8</v>
      </c>
      <c r="J15" s="22">
        <v>6</v>
      </c>
      <c r="K15" s="22">
        <v>2</v>
      </c>
      <c r="L15" s="22">
        <v>0</v>
      </c>
      <c r="M15" s="22">
        <v>2</v>
      </c>
      <c r="N15" s="22">
        <v>5</v>
      </c>
      <c r="O15" s="22">
        <v>1</v>
      </c>
      <c r="P15" s="22">
        <v>13</v>
      </c>
      <c r="Q15" s="22">
        <v>6</v>
      </c>
      <c r="R15" s="22">
        <v>6</v>
      </c>
      <c r="S15" s="3">
        <f t="shared" si="0"/>
        <v>49</v>
      </c>
      <c r="T15" s="22" t="s">
        <v>158</v>
      </c>
      <c r="U15" s="22">
        <v>10</v>
      </c>
    </row>
    <row r="16" spans="1:21" s="7" customFormat="1" ht="18" customHeight="1" x14ac:dyDescent="0.25">
      <c r="A16" s="8"/>
      <c r="B16" s="8"/>
      <c r="C16" s="9"/>
      <c r="D16" s="9"/>
      <c r="E16" s="9"/>
      <c r="F16" s="6"/>
      <c r="G16" s="9"/>
      <c r="H16" s="18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3"/>
      <c r="T16" s="22"/>
      <c r="U16" s="22"/>
    </row>
    <row r="17" spans="1:21" s="7" customFormat="1" ht="18" customHeight="1" x14ac:dyDescent="0.25">
      <c r="A17" s="8" t="str">
        <f>("801")</f>
        <v>801</v>
      </c>
      <c r="B17" s="8" t="str">
        <f>("131244")</f>
        <v>131244</v>
      </c>
      <c r="C17" s="9" t="s">
        <v>77</v>
      </c>
      <c r="D17" s="9" t="s">
        <v>127</v>
      </c>
      <c r="E17" s="9" t="s">
        <v>42</v>
      </c>
      <c r="F17" s="8" t="s">
        <v>43</v>
      </c>
      <c r="G17" s="9" t="s">
        <v>128</v>
      </c>
      <c r="H17" s="18" t="s">
        <v>24</v>
      </c>
      <c r="I17" s="22">
        <v>2</v>
      </c>
      <c r="J17" s="22">
        <v>2</v>
      </c>
      <c r="K17" s="22">
        <v>0</v>
      </c>
      <c r="L17" s="22">
        <v>0</v>
      </c>
      <c r="M17" s="22">
        <v>1</v>
      </c>
      <c r="N17" s="22">
        <v>0</v>
      </c>
      <c r="O17" s="22">
        <v>0</v>
      </c>
      <c r="P17" s="22">
        <v>0</v>
      </c>
      <c r="Q17" s="22">
        <v>1</v>
      </c>
      <c r="R17" s="22">
        <v>0</v>
      </c>
      <c r="S17" s="3">
        <f>SUM(I17:R17)</f>
        <v>6</v>
      </c>
      <c r="T17" s="22" t="s">
        <v>153</v>
      </c>
      <c r="U17" s="22">
        <v>20</v>
      </c>
    </row>
    <row r="18" spans="1:21" s="7" customFormat="1" ht="18" customHeight="1" x14ac:dyDescent="0.25">
      <c r="A18" s="8" t="str">
        <f>("381")</f>
        <v>381</v>
      </c>
      <c r="B18" s="8" t="str">
        <f>("89770")</f>
        <v>89770</v>
      </c>
      <c r="C18" s="9" t="s">
        <v>81</v>
      </c>
      <c r="D18" s="9" t="s">
        <v>99</v>
      </c>
      <c r="E18" s="9" t="s">
        <v>42</v>
      </c>
      <c r="F18" s="8" t="s">
        <v>43</v>
      </c>
      <c r="G18" s="9" t="s">
        <v>100</v>
      </c>
      <c r="H18" s="18" t="s">
        <v>51</v>
      </c>
      <c r="I18" s="22">
        <v>5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1</v>
      </c>
      <c r="Q18" s="22">
        <v>0</v>
      </c>
      <c r="R18" s="22">
        <v>1</v>
      </c>
      <c r="S18" s="3">
        <f>SUM(I18:R18)</f>
        <v>7</v>
      </c>
      <c r="T18" s="22" t="s">
        <v>154</v>
      </c>
      <c r="U18" s="22">
        <v>17</v>
      </c>
    </row>
    <row r="19" spans="1:21" s="7" customFormat="1" ht="18" customHeight="1" x14ac:dyDescent="0.25">
      <c r="A19" s="8" t="str">
        <f>("177")</f>
        <v>177</v>
      </c>
      <c r="B19" s="8" t="str">
        <f>("106148")</f>
        <v>106148</v>
      </c>
      <c r="C19" s="9" t="s">
        <v>75</v>
      </c>
      <c r="D19" s="9" t="s">
        <v>76</v>
      </c>
      <c r="E19" s="9" t="s">
        <v>42</v>
      </c>
      <c r="F19" s="8" t="s">
        <v>43</v>
      </c>
      <c r="G19" s="9" t="s">
        <v>58</v>
      </c>
      <c r="H19" s="18" t="s">
        <v>0</v>
      </c>
      <c r="I19" s="22">
        <v>5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</v>
      </c>
      <c r="Q19" s="22">
        <v>0</v>
      </c>
      <c r="R19" s="22">
        <v>0</v>
      </c>
      <c r="S19" s="3">
        <f>SUM(I19:R19)</f>
        <v>8</v>
      </c>
      <c r="T19" s="22" t="s">
        <v>155</v>
      </c>
      <c r="U19" s="22">
        <v>15</v>
      </c>
    </row>
    <row r="20" spans="1:21" s="7" customFormat="1" ht="18" customHeight="1" x14ac:dyDescent="0.25">
      <c r="A20" s="8" t="str">
        <f>("221")</f>
        <v>221</v>
      </c>
      <c r="B20" s="8" t="str">
        <f>("29959")</f>
        <v>29959</v>
      </c>
      <c r="C20" s="9" t="s">
        <v>78</v>
      </c>
      <c r="D20" s="9" t="s">
        <v>79</v>
      </c>
      <c r="E20" s="9" t="s">
        <v>42</v>
      </c>
      <c r="F20" s="8" t="s">
        <v>43</v>
      </c>
      <c r="G20" s="9" t="s">
        <v>80</v>
      </c>
      <c r="H20" s="18" t="s">
        <v>51</v>
      </c>
      <c r="I20" s="22">
        <v>9</v>
      </c>
      <c r="J20" s="22">
        <v>1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7</v>
      </c>
      <c r="Q20" s="22">
        <v>0</v>
      </c>
      <c r="R20" s="22">
        <v>0</v>
      </c>
      <c r="S20" s="3">
        <f>SUM(I20:R20)</f>
        <v>17</v>
      </c>
      <c r="T20" s="22" t="s">
        <v>156</v>
      </c>
      <c r="U20" s="22">
        <v>13</v>
      </c>
    </row>
    <row r="21" spans="1:21" s="7" customFormat="1" ht="18" customHeight="1" x14ac:dyDescent="0.25">
      <c r="A21" s="8"/>
      <c r="B21" s="8"/>
      <c r="C21" s="9"/>
      <c r="D21" s="9"/>
      <c r="E21" s="9"/>
      <c r="F21" s="8"/>
      <c r="G21" s="9"/>
      <c r="H21" s="18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3"/>
      <c r="T21" s="22"/>
      <c r="U21" s="22"/>
    </row>
    <row r="22" spans="1:21" s="7" customFormat="1" ht="18" customHeight="1" x14ac:dyDescent="0.25">
      <c r="A22" s="8" t="str">
        <f>("22")</f>
        <v>22</v>
      </c>
      <c r="B22" s="8" t="str">
        <f>("119604")</f>
        <v>119604</v>
      </c>
      <c r="C22" s="9" t="s">
        <v>15</v>
      </c>
      <c r="D22" s="9" t="s">
        <v>16</v>
      </c>
      <c r="E22" s="9" t="s">
        <v>17</v>
      </c>
      <c r="F22" s="8" t="s">
        <v>18</v>
      </c>
      <c r="G22" s="9" t="s">
        <v>19</v>
      </c>
      <c r="H22" s="18" t="s">
        <v>20</v>
      </c>
      <c r="I22" s="22">
        <v>1</v>
      </c>
      <c r="J22" s="22">
        <v>0</v>
      </c>
      <c r="K22" s="22">
        <v>0</v>
      </c>
      <c r="L22" s="22">
        <v>2</v>
      </c>
      <c r="M22" s="22">
        <v>0</v>
      </c>
      <c r="N22" s="22">
        <v>0</v>
      </c>
      <c r="O22" s="22">
        <v>2</v>
      </c>
      <c r="P22" s="22">
        <v>0</v>
      </c>
      <c r="Q22" s="22">
        <v>0</v>
      </c>
      <c r="R22" s="22">
        <v>1</v>
      </c>
      <c r="S22" s="3">
        <f>SUM(I22:R22)</f>
        <v>6</v>
      </c>
      <c r="T22" s="22" t="s">
        <v>153</v>
      </c>
      <c r="U22" s="22">
        <v>20</v>
      </c>
    </row>
    <row r="23" spans="1:21" s="7" customFormat="1" ht="18" customHeight="1" x14ac:dyDescent="0.25">
      <c r="A23" s="8" t="str">
        <f>("484")</f>
        <v>484</v>
      </c>
      <c r="B23" s="8" t="str">
        <f>("116766")</f>
        <v>116766</v>
      </c>
      <c r="C23" s="9" t="s">
        <v>111</v>
      </c>
      <c r="D23" s="9" t="s">
        <v>112</v>
      </c>
      <c r="E23" s="9" t="s">
        <v>17</v>
      </c>
      <c r="F23" s="8" t="s">
        <v>18</v>
      </c>
      <c r="G23" s="9" t="s">
        <v>113</v>
      </c>
      <c r="H23" s="18" t="s">
        <v>0</v>
      </c>
      <c r="I23" s="22">
        <v>6</v>
      </c>
      <c r="J23" s="22">
        <v>0</v>
      </c>
      <c r="K23" s="22">
        <v>0</v>
      </c>
      <c r="L23" s="22">
        <v>6</v>
      </c>
      <c r="M23" s="22">
        <v>0</v>
      </c>
      <c r="N23" s="22">
        <v>0</v>
      </c>
      <c r="O23" s="22">
        <v>5</v>
      </c>
      <c r="P23" s="22">
        <v>0</v>
      </c>
      <c r="Q23" s="22">
        <v>0</v>
      </c>
      <c r="R23" s="22">
        <v>2</v>
      </c>
      <c r="S23" s="3">
        <f>SUM(I23:R23)</f>
        <v>19</v>
      </c>
      <c r="T23" s="22" t="s">
        <v>154</v>
      </c>
      <c r="U23" s="22">
        <v>17</v>
      </c>
    </row>
    <row r="24" spans="1:21" s="7" customFormat="1" ht="18" customHeight="1" x14ac:dyDescent="0.25">
      <c r="A24" s="8" t="str">
        <f>("486")</f>
        <v>486</v>
      </c>
      <c r="B24" s="8" t="str">
        <f>("195211")</f>
        <v>195211</v>
      </c>
      <c r="C24" s="9" t="s">
        <v>114</v>
      </c>
      <c r="D24" s="9" t="s">
        <v>115</v>
      </c>
      <c r="E24" s="9" t="s">
        <v>17</v>
      </c>
      <c r="F24" s="8" t="s">
        <v>18</v>
      </c>
      <c r="G24" s="9" t="s">
        <v>100</v>
      </c>
      <c r="H24" s="18" t="s">
        <v>0</v>
      </c>
      <c r="I24" s="22">
        <v>9</v>
      </c>
      <c r="J24" s="22">
        <v>0</v>
      </c>
      <c r="K24" s="22">
        <v>0</v>
      </c>
      <c r="L24" s="22">
        <v>7</v>
      </c>
      <c r="M24" s="22">
        <v>0</v>
      </c>
      <c r="N24" s="22">
        <v>1</v>
      </c>
      <c r="O24" s="22">
        <v>13</v>
      </c>
      <c r="P24" s="22">
        <v>1</v>
      </c>
      <c r="Q24" s="22">
        <v>0</v>
      </c>
      <c r="R24" s="22">
        <v>1</v>
      </c>
      <c r="S24" s="3">
        <f>SUM(I24:R24)</f>
        <v>32</v>
      </c>
      <c r="T24" s="22" t="s">
        <v>155</v>
      </c>
      <c r="U24" s="22">
        <v>15</v>
      </c>
    </row>
    <row r="25" spans="1:21" s="7" customFormat="1" ht="18" customHeight="1" x14ac:dyDescent="0.25">
      <c r="A25" s="8" t="str">
        <f>("262")</f>
        <v>262</v>
      </c>
      <c r="B25" s="8" t="str">
        <f>("53187")</f>
        <v>53187</v>
      </c>
      <c r="C25" s="9" t="s">
        <v>68</v>
      </c>
      <c r="D25" s="9" t="s">
        <v>90</v>
      </c>
      <c r="E25" s="9" t="s">
        <v>17</v>
      </c>
      <c r="F25" s="8" t="s">
        <v>18</v>
      </c>
      <c r="G25" s="9" t="s">
        <v>91</v>
      </c>
      <c r="H25" s="18" t="s">
        <v>51</v>
      </c>
      <c r="I25" s="22">
        <v>2</v>
      </c>
      <c r="J25" s="22">
        <v>0</v>
      </c>
      <c r="K25" s="22">
        <v>0</v>
      </c>
      <c r="L25" s="22">
        <v>12</v>
      </c>
      <c r="M25" s="22">
        <v>0</v>
      </c>
      <c r="N25" s="22">
        <v>8</v>
      </c>
      <c r="O25" s="22">
        <v>11</v>
      </c>
      <c r="P25" s="22">
        <v>0</v>
      </c>
      <c r="Q25" s="22">
        <v>0</v>
      </c>
      <c r="R25" s="22">
        <v>3</v>
      </c>
      <c r="S25" s="3">
        <f>SUM(I25:R25)</f>
        <v>36</v>
      </c>
      <c r="T25" s="22" t="s">
        <v>156</v>
      </c>
      <c r="U25" s="22">
        <v>13</v>
      </c>
    </row>
    <row r="26" spans="1:21" s="7" customFormat="1" ht="18" customHeight="1" x14ac:dyDescent="0.25">
      <c r="A26" s="8" t="str">
        <f>("27")</f>
        <v>27</v>
      </c>
      <c r="B26" s="8" t="str">
        <f>("82330")</f>
        <v>82330</v>
      </c>
      <c r="C26" s="9" t="s">
        <v>25</v>
      </c>
      <c r="D26" s="9" t="s">
        <v>26</v>
      </c>
      <c r="E26" s="9" t="s">
        <v>17</v>
      </c>
      <c r="F26" s="8" t="s">
        <v>18</v>
      </c>
      <c r="G26" s="9" t="s">
        <v>27</v>
      </c>
      <c r="H26" s="18" t="s">
        <v>28</v>
      </c>
      <c r="I26" s="22">
        <v>13</v>
      </c>
      <c r="J26" s="22">
        <v>2</v>
      </c>
      <c r="K26" s="22">
        <v>0</v>
      </c>
      <c r="L26" s="22">
        <v>6</v>
      </c>
      <c r="M26" s="22">
        <v>3</v>
      </c>
      <c r="N26" s="22">
        <v>2</v>
      </c>
      <c r="O26" s="22">
        <v>13</v>
      </c>
      <c r="P26" s="22">
        <v>0</v>
      </c>
      <c r="Q26" s="22">
        <v>1</v>
      </c>
      <c r="R26" s="22">
        <v>2</v>
      </c>
      <c r="S26" s="3">
        <f>SUM(I26:R26)</f>
        <v>42</v>
      </c>
      <c r="T26" s="22" t="s">
        <v>157</v>
      </c>
      <c r="U26" s="22">
        <v>11</v>
      </c>
    </row>
    <row r="27" spans="1:21" s="7" customFormat="1" ht="18" customHeight="1" x14ac:dyDescent="0.25">
      <c r="A27" s="8"/>
      <c r="B27" s="8"/>
      <c r="C27" s="9"/>
      <c r="D27" s="9"/>
      <c r="E27" s="9"/>
      <c r="F27" s="8"/>
      <c r="G27" s="9"/>
      <c r="H27" s="18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"/>
      <c r="T27" s="22"/>
      <c r="U27" s="22"/>
    </row>
    <row r="28" spans="1:21" s="7" customFormat="1" ht="18" customHeight="1" x14ac:dyDescent="0.25">
      <c r="A28" s="8" t="str">
        <f>("157")</f>
        <v>157</v>
      </c>
      <c r="B28" s="8" t="str">
        <f>("89636")</f>
        <v>89636</v>
      </c>
      <c r="C28" s="9" t="s">
        <v>70</v>
      </c>
      <c r="D28" s="9" t="s">
        <v>71</v>
      </c>
      <c r="E28" s="9" t="s">
        <v>30</v>
      </c>
      <c r="F28" s="8" t="s">
        <v>11</v>
      </c>
      <c r="G28" s="9" t="s">
        <v>72</v>
      </c>
      <c r="H28" s="18" t="s">
        <v>24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3">
        <f>SUM(I28:R28)</f>
        <v>0</v>
      </c>
      <c r="T28" s="22" t="s">
        <v>153</v>
      </c>
      <c r="U28" s="22">
        <v>20</v>
      </c>
    </row>
    <row r="29" spans="1:21" s="7" customFormat="1" ht="18" customHeight="1" x14ac:dyDescent="0.25">
      <c r="A29" s="8" t="str">
        <f>("307")</f>
        <v>307</v>
      </c>
      <c r="B29" s="8" t="str">
        <f>("181769")</f>
        <v>181769</v>
      </c>
      <c r="C29" s="9" t="s">
        <v>89</v>
      </c>
      <c r="D29" s="9" t="s">
        <v>52</v>
      </c>
      <c r="E29" s="9" t="s">
        <v>30</v>
      </c>
      <c r="F29" s="8" t="s">
        <v>57</v>
      </c>
      <c r="G29" s="9" t="s">
        <v>85</v>
      </c>
      <c r="H29" s="18" t="s">
        <v>24</v>
      </c>
      <c r="I29" s="22">
        <v>0</v>
      </c>
      <c r="J29" s="22">
        <v>0</v>
      </c>
      <c r="K29" s="22">
        <v>0</v>
      </c>
      <c r="L29" s="22">
        <v>0</v>
      </c>
      <c r="M29" s="22">
        <v>3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3">
        <f>SUM(I29:R29)</f>
        <v>4</v>
      </c>
      <c r="T29" s="22" t="s">
        <v>154</v>
      </c>
      <c r="U29" s="22">
        <v>17</v>
      </c>
    </row>
    <row r="30" spans="1:21" s="7" customFormat="1" ht="18" customHeight="1" x14ac:dyDescent="0.25">
      <c r="A30" s="8" t="str">
        <f>("114")</f>
        <v>114</v>
      </c>
      <c r="B30" s="8" t="str">
        <f>("53211")</f>
        <v>53211</v>
      </c>
      <c r="C30" s="9" t="s">
        <v>61</v>
      </c>
      <c r="D30" s="9" t="s">
        <v>62</v>
      </c>
      <c r="E30" s="9" t="s">
        <v>30</v>
      </c>
      <c r="F30" s="8" t="s">
        <v>11</v>
      </c>
      <c r="G30" s="9" t="s">
        <v>63</v>
      </c>
      <c r="H30" s="18" t="s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</v>
      </c>
      <c r="S30" s="3">
        <f>SUM(I30:R30)</f>
        <v>5</v>
      </c>
      <c r="T30" s="22" t="s">
        <v>155</v>
      </c>
      <c r="U30" s="22">
        <v>15</v>
      </c>
    </row>
    <row r="31" spans="1:21" s="7" customFormat="1" ht="18" customHeight="1" x14ac:dyDescent="0.25">
      <c r="A31" s="8"/>
      <c r="B31" s="8"/>
      <c r="C31" s="9"/>
      <c r="D31" s="9"/>
      <c r="E31" s="9"/>
      <c r="F31" s="8"/>
      <c r="G31" s="9"/>
      <c r="H31" s="18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"/>
      <c r="T31" s="22"/>
      <c r="U31" s="22"/>
    </row>
    <row r="32" spans="1:21" s="7" customFormat="1" ht="18" customHeight="1" x14ac:dyDescent="0.25">
      <c r="A32" s="8" t="str">
        <f>("802")</f>
        <v>802</v>
      </c>
      <c r="B32" s="8" t="str">
        <f>("91195")</f>
        <v>91195</v>
      </c>
      <c r="C32" s="9" t="s">
        <v>95</v>
      </c>
      <c r="D32" s="9" t="s">
        <v>129</v>
      </c>
      <c r="E32" s="9" t="s">
        <v>13</v>
      </c>
      <c r="F32" s="8" t="s">
        <v>14</v>
      </c>
      <c r="G32" s="9" t="s">
        <v>130</v>
      </c>
      <c r="H32" s="18" t="s">
        <v>24</v>
      </c>
      <c r="I32" s="22">
        <v>1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2</v>
      </c>
      <c r="Q32" s="22">
        <v>1</v>
      </c>
      <c r="R32" s="22">
        <v>5</v>
      </c>
      <c r="S32" s="3">
        <f>SUM(I32:R32)</f>
        <v>9</v>
      </c>
      <c r="T32" s="22" t="s">
        <v>153</v>
      </c>
      <c r="U32" s="22">
        <v>20</v>
      </c>
    </row>
    <row r="33" spans="1:21" s="7" customFormat="1" ht="18" customHeight="1" x14ac:dyDescent="0.25">
      <c r="A33" s="8" t="str">
        <f>("174")</f>
        <v>174</v>
      </c>
      <c r="B33" s="8" t="str">
        <f>("107604")</f>
        <v>107604</v>
      </c>
      <c r="C33" s="9" t="s">
        <v>73</v>
      </c>
      <c r="D33" s="9" t="s">
        <v>74</v>
      </c>
      <c r="E33" s="9" t="s">
        <v>13</v>
      </c>
      <c r="F33" s="8" t="s">
        <v>14</v>
      </c>
      <c r="G33" s="9" t="s">
        <v>12</v>
      </c>
      <c r="H33" s="18" t="s">
        <v>0</v>
      </c>
      <c r="I33" s="22">
        <v>0</v>
      </c>
      <c r="J33" s="22">
        <v>0</v>
      </c>
      <c r="K33" s="22">
        <v>0</v>
      </c>
      <c r="L33" s="22">
        <v>5</v>
      </c>
      <c r="M33" s="22">
        <v>0</v>
      </c>
      <c r="N33" s="22">
        <v>1</v>
      </c>
      <c r="O33" s="22">
        <v>4</v>
      </c>
      <c r="P33" s="22">
        <v>1</v>
      </c>
      <c r="Q33" s="22">
        <v>0</v>
      </c>
      <c r="R33" s="22">
        <v>0</v>
      </c>
      <c r="S33" s="3">
        <f>SUM(I33:R33)</f>
        <v>11</v>
      </c>
      <c r="T33" s="22" t="s">
        <v>154</v>
      </c>
      <c r="U33" s="22">
        <v>17</v>
      </c>
    </row>
    <row r="34" spans="1:21" s="7" customFormat="1" ht="18" customHeight="1" x14ac:dyDescent="0.25">
      <c r="A34" s="8"/>
      <c r="B34" s="8"/>
      <c r="C34" s="9"/>
      <c r="D34" s="9"/>
      <c r="E34" s="9"/>
      <c r="F34" s="8"/>
      <c r="G34" s="9"/>
      <c r="H34" s="18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3"/>
      <c r="T34" s="22"/>
      <c r="U34" s="22"/>
    </row>
    <row r="35" spans="1:21" s="7" customFormat="1" ht="18" customHeight="1" x14ac:dyDescent="0.25">
      <c r="A35" s="8" t="str">
        <f>("500")</f>
        <v>500</v>
      </c>
      <c r="B35" s="8" t="str">
        <f>("10955")</f>
        <v>10955</v>
      </c>
      <c r="C35" s="9" t="s">
        <v>116</v>
      </c>
      <c r="D35" s="9" t="s">
        <v>117</v>
      </c>
      <c r="E35" s="9" t="s">
        <v>10</v>
      </c>
      <c r="F35" s="8" t="s">
        <v>11</v>
      </c>
      <c r="G35" s="9" t="s">
        <v>148</v>
      </c>
      <c r="H35" s="18" t="s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5</v>
      </c>
      <c r="S35" s="3">
        <f>SUM(I35:R35)</f>
        <v>5</v>
      </c>
      <c r="T35" s="22" t="s">
        <v>153</v>
      </c>
      <c r="U35" s="22">
        <v>20</v>
      </c>
    </row>
    <row r="36" spans="1:21" s="7" customFormat="1" ht="18" customHeight="1" x14ac:dyDescent="0.25">
      <c r="A36" s="8" t="str">
        <f>("345")</f>
        <v>345</v>
      </c>
      <c r="B36" s="8" t="str">
        <f>("201725")</f>
        <v>201725</v>
      </c>
      <c r="C36" s="9" t="s">
        <v>96</v>
      </c>
      <c r="D36" s="9" t="s">
        <v>97</v>
      </c>
      <c r="E36" s="9" t="s">
        <v>10</v>
      </c>
      <c r="F36" s="8" t="s">
        <v>11</v>
      </c>
      <c r="G36" s="9" t="s">
        <v>98</v>
      </c>
      <c r="H36" s="18" t="s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</v>
      </c>
      <c r="N36" s="22">
        <v>0</v>
      </c>
      <c r="O36" s="22">
        <v>0</v>
      </c>
      <c r="P36" s="22">
        <v>0</v>
      </c>
      <c r="Q36" s="22">
        <v>0</v>
      </c>
      <c r="R36" s="22">
        <v>6</v>
      </c>
      <c r="S36" s="3">
        <f>SUM(I36:R36)</f>
        <v>7</v>
      </c>
      <c r="T36" s="22" t="s">
        <v>154</v>
      </c>
      <c r="U36" s="22">
        <v>17</v>
      </c>
    </row>
    <row r="37" spans="1:21" s="7" customFormat="1" ht="18" customHeight="1" x14ac:dyDescent="0.25">
      <c r="A37" s="8" t="str">
        <f>("24")</f>
        <v>24</v>
      </c>
      <c r="B37" s="8" t="str">
        <f>("177394")</f>
        <v>177394</v>
      </c>
      <c r="C37" s="9" t="s">
        <v>21</v>
      </c>
      <c r="D37" s="9" t="s">
        <v>22</v>
      </c>
      <c r="E37" s="9" t="s">
        <v>10</v>
      </c>
      <c r="F37" s="8" t="s">
        <v>11</v>
      </c>
      <c r="G37" s="9" t="s">
        <v>23</v>
      </c>
      <c r="H37" s="18" t="s">
        <v>24</v>
      </c>
      <c r="I37" s="22">
        <v>0</v>
      </c>
      <c r="J37" s="22">
        <v>0</v>
      </c>
      <c r="K37" s="22">
        <v>5</v>
      </c>
      <c r="L37" s="22">
        <v>0</v>
      </c>
      <c r="M37" s="22">
        <v>7</v>
      </c>
      <c r="N37" s="22">
        <v>0</v>
      </c>
      <c r="O37" s="22">
        <v>0</v>
      </c>
      <c r="P37" s="22">
        <v>0</v>
      </c>
      <c r="Q37" s="22">
        <v>0</v>
      </c>
      <c r="R37" s="22">
        <v>5</v>
      </c>
      <c r="S37" s="3">
        <f>SUM(I37:R37)</f>
        <v>17</v>
      </c>
      <c r="T37" s="22" t="s">
        <v>155</v>
      </c>
      <c r="U37" s="22">
        <v>15</v>
      </c>
    </row>
    <row r="38" spans="1:21" s="7" customFormat="1" ht="18" customHeight="1" x14ac:dyDescent="0.25">
      <c r="A38" s="8"/>
      <c r="B38" s="8"/>
      <c r="C38" s="9"/>
      <c r="D38" s="9"/>
      <c r="E38" s="9"/>
      <c r="F38" s="8"/>
      <c r="G38" s="9"/>
      <c r="H38" s="18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3"/>
      <c r="T38" s="22"/>
      <c r="U38" s="22"/>
    </row>
    <row r="39" spans="1:21" s="7" customFormat="1" ht="18" customHeight="1" x14ac:dyDescent="0.25">
      <c r="A39" s="8" t="str">
        <f>("123")</f>
        <v>123</v>
      </c>
      <c r="B39" s="8" t="str">
        <f>("99863")</f>
        <v>99863</v>
      </c>
      <c r="C39" s="9" t="s">
        <v>29</v>
      </c>
      <c r="D39" s="9" t="s">
        <v>64</v>
      </c>
      <c r="E39" s="9" t="s">
        <v>65</v>
      </c>
      <c r="F39" s="8" t="s">
        <v>14</v>
      </c>
      <c r="G39" s="9" t="s">
        <v>66</v>
      </c>
      <c r="H39" s="18" t="s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3">
        <f>SUM(I39:R39)</f>
        <v>0</v>
      </c>
      <c r="T39" s="22" t="s">
        <v>153</v>
      </c>
      <c r="U39" s="22">
        <v>20</v>
      </c>
    </row>
    <row r="40" spans="1:21" s="7" customFormat="1" ht="18" customHeight="1" x14ac:dyDescent="0.25">
      <c r="A40" s="8" t="str">
        <f>("523")</f>
        <v>523</v>
      </c>
      <c r="B40" s="8" t="str">
        <f>("191912")</f>
        <v>191912</v>
      </c>
      <c r="C40" s="9" t="s">
        <v>118</v>
      </c>
      <c r="D40" s="9" t="s">
        <v>119</v>
      </c>
      <c r="E40" s="9" t="s">
        <v>65</v>
      </c>
      <c r="F40" s="8" t="s">
        <v>14</v>
      </c>
      <c r="G40" s="9" t="s">
        <v>120</v>
      </c>
      <c r="H40" s="18" t="s">
        <v>0</v>
      </c>
      <c r="I40" s="22">
        <v>1</v>
      </c>
      <c r="J40" s="22">
        <v>1</v>
      </c>
      <c r="K40" s="22">
        <v>1</v>
      </c>
      <c r="L40" s="22">
        <v>0</v>
      </c>
      <c r="M40" s="22">
        <v>1</v>
      </c>
      <c r="N40" s="22">
        <v>0</v>
      </c>
      <c r="O40" s="22">
        <v>0</v>
      </c>
      <c r="P40" s="22">
        <v>1</v>
      </c>
      <c r="Q40" s="22">
        <v>0</v>
      </c>
      <c r="R40" s="22">
        <v>1</v>
      </c>
      <c r="S40" s="3">
        <f>SUM(I40:R40)</f>
        <v>6</v>
      </c>
      <c r="T40" s="22" t="s">
        <v>154</v>
      </c>
      <c r="U40" s="22">
        <v>17</v>
      </c>
    </row>
    <row r="41" spans="1:21" s="7" customFormat="1" ht="18" customHeight="1" x14ac:dyDescent="0.25">
      <c r="A41" s="8" t="str">
        <f>("124")</f>
        <v>124</v>
      </c>
      <c r="B41" s="8" t="str">
        <f>("99864")</f>
        <v>99864</v>
      </c>
      <c r="C41" s="9" t="s">
        <v>67</v>
      </c>
      <c r="D41" s="9" t="s">
        <v>64</v>
      </c>
      <c r="E41" s="9" t="s">
        <v>65</v>
      </c>
      <c r="F41" s="8" t="s">
        <v>14</v>
      </c>
      <c r="G41" s="9" t="s">
        <v>44</v>
      </c>
      <c r="H41" s="18" t="s">
        <v>0</v>
      </c>
      <c r="I41" s="22">
        <v>0</v>
      </c>
      <c r="J41" s="22">
        <v>0</v>
      </c>
      <c r="K41" s="22">
        <v>0</v>
      </c>
      <c r="L41" s="22">
        <v>5</v>
      </c>
      <c r="M41" s="22">
        <v>0</v>
      </c>
      <c r="N41" s="22">
        <v>1</v>
      </c>
      <c r="O41" s="22">
        <v>0</v>
      </c>
      <c r="P41" s="22">
        <v>0</v>
      </c>
      <c r="Q41" s="22">
        <v>0</v>
      </c>
      <c r="R41" s="22">
        <v>2</v>
      </c>
      <c r="S41" s="3">
        <f>SUM(I41:R41)</f>
        <v>8</v>
      </c>
      <c r="T41" s="22" t="s">
        <v>155</v>
      </c>
      <c r="U41" s="22">
        <v>15</v>
      </c>
    </row>
    <row r="42" spans="1:21" s="7" customFormat="1" ht="18" customHeight="1" x14ac:dyDescent="0.25">
      <c r="A42" s="8" t="str">
        <f>("395")</f>
        <v>395</v>
      </c>
      <c r="B42" s="8" t="str">
        <f>("204244")</f>
        <v>204244</v>
      </c>
      <c r="C42" s="9" t="s">
        <v>105</v>
      </c>
      <c r="D42" s="9" t="s">
        <v>106</v>
      </c>
      <c r="E42" s="9" t="s">
        <v>65</v>
      </c>
      <c r="F42" s="8" t="s">
        <v>14</v>
      </c>
      <c r="G42" s="9" t="s">
        <v>44</v>
      </c>
      <c r="H42" s="18" t="s">
        <v>0</v>
      </c>
      <c r="I42" s="22">
        <v>1</v>
      </c>
      <c r="J42" s="22">
        <v>1</v>
      </c>
      <c r="K42" s="22">
        <v>1</v>
      </c>
      <c r="L42" s="22">
        <v>0</v>
      </c>
      <c r="M42" s="22">
        <v>5</v>
      </c>
      <c r="N42" s="22">
        <v>0</v>
      </c>
      <c r="O42" s="22">
        <v>0</v>
      </c>
      <c r="P42" s="22">
        <v>0</v>
      </c>
      <c r="Q42" s="22">
        <v>1</v>
      </c>
      <c r="R42" s="22">
        <v>0</v>
      </c>
      <c r="S42" s="3">
        <f>SUM(I42:R42)</f>
        <v>9</v>
      </c>
      <c r="T42" s="22" t="s">
        <v>156</v>
      </c>
      <c r="U42" s="22">
        <v>13</v>
      </c>
    </row>
    <row r="43" spans="1:21" s="7" customFormat="1" ht="18" customHeight="1" x14ac:dyDescent="0.25">
      <c r="A43" s="8"/>
      <c r="B43" s="8"/>
      <c r="C43" s="9"/>
      <c r="D43" s="9"/>
      <c r="E43" s="9"/>
      <c r="F43" s="8"/>
      <c r="G43" s="9"/>
      <c r="H43" s="18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"/>
      <c r="T43" s="22"/>
      <c r="U43" s="22"/>
    </row>
    <row r="44" spans="1:21" s="7" customFormat="1" ht="18" customHeight="1" x14ac:dyDescent="0.25">
      <c r="A44" s="8" t="str">
        <f>("239")</f>
        <v>239</v>
      </c>
      <c r="B44" s="8" t="str">
        <f>("21708")</f>
        <v>21708</v>
      </c>
      <c r="C44" s="9" t="s">
        <v>86</v>
      </c>
      <c r="D44" s="9" t="s">
        <v>87</v>
      </c>
      <c r="E44" s="9" t="s">
        <v>33</v>
      </c>
      <c r="F44" s="8" t="s">
        <v>14</v>
      </c>
      <c r="G44" s="9" t="s">
        <v>88</v>
      </c>
      <c r="H44" s="18" t="s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3">
        <f>SUM(I44:R44)</f>
        <v>0</v>
      </c>
      <c r="T44" s="22" t="s">
        <v>153</v>
      </c>
      <c r="U44" s="22">
        <v>20</v>
      </c>
    </row>
    <row r="45" spans="1:21" s="7" customFormat="1" ht="18" customHeight="1" x14ac:dyDescent="0.25">
      <c r="A45" s="8" t="str">
        <f>("37")</f>
        <v>37</v>
      </c>
      <c r="B45" s="8" t="str">
        <f>("116173")</f>
        <v>116173</v>
      </c>
      <c r="C45" s="9" t="s">
        <v>31</v>
      </c>
      <c r="D45" s="9" t="s">
        <v>32</v>
      </c>
      <c r="E45" s="9" t="s">
        <v>33</v>
      </c>
      <c r="F45" s="8" t="s">
        <v>14</v>
      </c>
      <c r="G45" s="9" t="s">
        <v>34</v>
      </c>
      <c r="H45" s="18" t="s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0</v>
      </c>
      <c r="Q45" s="22">
        <v>0</v>
      </c>
      <c r="R45" s="22">
        <v>0</v>
      </c>
      <c r="S45" s="3">
        <f>SUM(I45:R45)</f>
        <v>1</v>
      </c>
      <c r="T45" s="22" t="s">
        <v>154</v>
      </c>
      <c r="U45" s="22">
        <v>17</v>
      </c>
    </row>
    <row r="46" spans="1:21" s="7" customFormat="1" ht="18" customHeight="1" x14ac:dyDescent="0.25">
      <c r="A46" s="8" t="str">
        <f>("57")</f>
        <v>57</v>
      </c>
      <c r="B46" s="8" t="str">
        <f>("121323")</f>
        <v>121323</v>
      </c>
      <c r="C46" s="9" t="s">
        <v>149</v>
      </c>
      <c r="D46" s="9" t="s">
        <v>40</v>
      </c>
      <c r="E46" s="9" t="s">
        <v>33</v>
      </c>
      <c r="F46" s="8" t="s">
        <v>14</v>
      </c>
      <c r="G46" s="9" t="s">
        <v>41</v>
      </c>
      <c r="H46" s="18" t="s">
        <v>0</v>
      </c>
      <c r="I46" s="22">
        <v>2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5</v>
      </c>
      <c r="P46" s="22">
        <v>1</v>
      </c>
      <c r="Q46" s="22">
        <v>0</v>
      </c>
      <c r="R46" s="22">
        <v>0</v>
      </c>
      <c r="S46" s="3">
        <f>SUM(I46:R46)</f>
        <v>8</v>
      </c>
      <c r="T46" s="22" t="s">
        <v>155</v>
      </c>
      <c r="U46" s="22">
        <v>15</v>
      </c>
    </row>
    <row r="47" spans="1:21" s="7" customFormat="1" ht="18" customHeight="1" x14ac:dyDescent="0.25">
      <c r="A47" s="8"/>
      <c r="B47" s="8"/>
      <c r="C47" s="9"/>
      <c r="D47" s="9"/>
      <c r="E47" s="9"/>
      <c r="F47" s="8"/>
      <c r="G47" s="9"/>
      <c r="H47" s="1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"/>
      <c r="T47" s="22"/>
      <c r="U47" s="22"/>
    </row>
    <row r="48" spans="1:21" s="7" customFormat="1" ht="18" customHeight="1" x14ac:dyDescent="0.25">
      <c r="A48" s="8" t="str">
        <f>("125")</f>
        <v>125</v>
      </c>
      <c r="B48" s="8" t="str">
        <f>("53276")</f>
        <v>53276</v>
      </c>
      <c r="C48" s="9" t="s">
        <v>150</v>
      </c>
      <c r="D48" s="9" t="s">
        <v>64</v>
      </c>
      <c r="E48" s="9" t="s">
        <v>39</v>
      </c>
      <c r="F48" s="8" t="s">
        <v>14</v>
      </c>
      <c r="G48" s="9" t="s">
        <v>44</v>
      </c>
      <c r="H48" s="18" t="s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3">
        <f t="shared" ref="S48:S54" si="1">SUM(I48:R48)</f>
        <v>0</v>
      </c>
      <c r="T48" s="22" t="s">
        <v>153</v>
      </c>
      <c r="U48" s="22">
        <v>20</v>
      </c>
    </row>
    <row r="49" spans="1:21" s="7" customFormat="1" ht="18" customHeight="1" x14ac:dyDescent="0.25">
      <c r="A49" s="8" t="str">
        <f>("223")</f>
        <v>223</v>
      </c>
      <c r="B49" s="8" t="str">
        <f>("146196")</f>
        <v>146196</v>
      </c>
      <c r="C49" s="9" t="s">
        <v>21</v>
      </c>
      <c r="D49" s="9" t="s">
        <v>82</v>
      </c>
      <c r="E49" s="9" t="s">
        <v>39</v>
      </c>
      <c r="F49" s="8" t="s">
        <v>14</v>
      </c>
      <c r="G49" s="9" t="s">
        <v>53</v>
      </c>
      <c r="H49" s="18" t="s">
        <v>24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3">
        <f t="shared" si="1"/>
        <v>0</v>
      </c>
      <c r="T49" s="22" t="s">
        <v>153</v>
      </c>
      <c r="U49" s="22">
        <v>20</v>
      </c>
    </row>
    <row r="50" spans="1:21" s="7" customFormat="1" ht="18" customHeight="1" x14ac:dyDescent="0.25">
      <c r="A50" s="8" t="str">
        <f>("88")</f>
        <v>88</v>
      </c>
      <c r="B50" s="8" t="str">
        <f>("144169")</f>
        <v>144169</v>
      </c>
      <c r="C50" s="9" t="s">
        <v>48</v>
      </c>
      <c r="D50" s="9" t="s">
        <v>49</v>
      </c>
      <c r="E50" s="9" t="s">
        <v>39</v>
      </c>
      <c r="F50" s="8" t="s">
        <v>14</v>
      </c>
      <c r="G50" s="9" t="s">
        <v>50</v>
      </c>
      <c r="H50" s="18" t="s">
        <v>51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1</v>
      </c>
      <c r="R50" s="22">
        <v>0</v>
      </c>
      <c r="S50" s="3">
        <f t="shared" si="1"/>
        <v>1</v>
      </c>
      <c r="T50" s="22" t="s">
        <v>154</v>
      </c>
      <c r="U50" s="22">
        <v>15</v>
      </c>
    </row>
    <row r="51" spans="1:21" s="7" customFormat="1" ht="18" customHeight="1" x14ac:dyDescent="0.25">
      <c r="A51" s="8" t="str">
        <f>("708")</f>
        <v>708</v>
      </c>
      <c r="B51" s="8" t="str">
        <f>("10263")</f>
        <v>10263</v>
      </c>
      <c r="C51" s="9" t="s">
        <v>21</v>
      </c>
      <c r="D51" s="9" t="s">
        <v>121</v>
      </c>
      <c r="E51" s="9" t="s">
        <v>39</v>
      </c>
      <c r="F51" s="8" t="s">
        <v>14</v>
      </c>
      <c r="G51" s="9" t="s">
        <v>122</v>
      </c>
      <c r="H51" s="18" t="s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0</v>
      </c>
      <c r="P51" s="22">
        <v>1</v>
      </c>
      <c r="Q51" s="22">
        <v>0</v>
      </c>
      <c r="R51" s="22">
        <v>0</v>
      </c>
      <c r="S51" s="3">
        <f t="shared" si="1"/>
        <v>2</v>
      </c>
      <c r="T51" s="22" t="s">
        <v>155</v>
      </c>
      <c r="U51" s="22">
        <v>13</v>
      </c>
    </row>
    <row r="52" spans="1:21" s="7" customFormat="1" ht="18" customHeight="1" x14ac:dyDescent="0.25">
      <c r="A52" s="8" t="str">
        <f>("83")</f>
        <v>83</v>
      </c>
      <c r="B52" s="8" t="str">
        <f>("166177")</f>
        <v>166177</v>
      </c>
      <c r="C52" s="9" t="s">
        <v>45</v>
      </c>
      <c r="D52" s="9" t="s">
        <v>46</v>
      </c>
      <c r="E52" s="9" t="s">
        <v>39</v>
      </c>
      <c r="F52" s="8" t="s">
        <v>14</v>
      </c>
      <c r="G52" s="9" t="s">
        <v>47</v>
      </c>
      <c r="H52" s="18" t="s">
        <v>28</v>
      </c>
      <c r="I52" s="22">
        <v>1</v>
      </c>
      <c r="J52" s="22">
        <v>0</v>
      </c>
      <c r="K52" s="22">
        <v>0</v>
      </c>
      <c r="L52" s="22">
        <v>2</v>
      </c>
      <c r="M52" s="22">
        <v>0</v>
      </c>
      <c r="N52" s="22">
        <v>1</v>
      </c>
      <c r="O52" s="22">
        <v>1</v>
      </c>
      <c r="P52" s="22">
        <v>0</v>
      </c>
      <c r="Q52" s="22">
        <v>0</v>
      </c>
      <c r="R52" s="22">
        <v>0</v>
      </c>
      <c r="S52" s="3">
        <f t="shared" si="1"/>
        <v>5</v>
      </c>
      <c r="T52" s="22" t="s">
        <v>156</v>
      </c>
      <c r="U52" s="22">
        <v>11</v>
      </c>
    </row>
    <row r="53" spans="1:21" s="7" customFormat="1" ht="18" customHeight="1" x14ac:dyDescent="0.25">
      <c r="A53" s="8" t="str">
        <f>("150")</f>
        <v>150</v>
      </c>
      <c r="B53" s="8" t="str">
        <f>("124931")</f>
        <v>124931</v>
      </c>
      <c r="C53" s="9" t="s">
        <v>96</v>
      </c>
      <c r="D53" s="9" t="s">
        <v>151</v>
      </c>
      <c r="E53" s="9" t="s">
        <v>39</v>
      </c>
      <c r="F53" s="8" t="s">
        <v>57</v>
      </c>
      <c r="G53" s="9" t="s">
        <v>69</v>
      </c>
      <c r="H53" s="18" t="s">
        <v>51</v>
      </c>
      <c r="I53" s="22">
        <v>1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1</v>
      </c>
      <c r="P53" s="22">
        <v>1</v>
      </c>
      <c r="Q53" s="22">
        <v>1</v>
      </c>
      <c r="R53" s="22">
        <v>1</v>
      </c>
      <c r="S53" s="3">
        <f t="shared" si="1"/>
        <v>5</v>
      </c>
      <c r="T53" s="22" t="s">
        <v>157</v>
      </c>
      <c r="U53" s="22">
        <v>10</v>
      </c>
    </row>
    <row r="54" spans="1:21" s="7" customFormat="1" ht="18" customHeight="1" x14ac:dyDescent="0.25">
      <c r="A54" s="8" t="str">
        <f>("306")</f>
        <v>306</v>
      </c>
      <c r="B54" s="8" t="str">
        <f>("141027")</f>
        <v>141027</v>
      </c>
      <c r="C54" s="9" t="s">
        <v>92</v>
      </c>
      <c r="D54" s="9" t="s">
        <v>93</v>
      </c>
      <c r="E54" s="9" t="s">
        <v>39</v>
      </c>
      <c r="F54" s="8" t="s">
        <v>14</v>
      </c>
      <c r="G54" s="9" t="s">
        <v>94</v>
      </c>
      <c r="H54" s="18" t="s">
        <v>24</v>
      </c>
      <c r="I54" s="22">
        <v>1</v>
      </c>
      <c r="J54" s="22">
        <v>0</v>
      </c>
      <c r="K54" s="22">
        <v>10</v>
      </c>
      <c r="L54" s="22">
        <v>0</v>
      </c>
      <c r="M54" s="22">
        <v>0</v>
      </c>
      <c r="N54" s="22">
        <v>0</v>
      </c>
      <c r="O54" s="22">
        <v>1</v>
      </c>
      <c r="P54" s="22">
        <v>0</v>
      </c>
      <c r="Q54" s="22">
        <v>0</v>
      </c>
      <c r="R54" s="22">
        <v>0</v>
      </c>
      <c r="S54" s="3">
        <f t="shared" si="1"/>
        <v>12</v>
      </c>
      <c r="T54" s="22" t="s">
        <v>158</v>
      </c>
      <c r="U54" s="22">
        <v>9</v>
      </c>
    </row>
    <row r="55" spans="1:21" s="7" customFormat="1" ht="18" customHeight="1" x14ac:dyDescent="0.25">
      <c r="A55" s="8"/>
      <c r="B55" s="8"/>
      <c r="C55" s="9"/>
      <c r="D55" s="9"/>
      <c r="E55" s="9"/>
      <c r="F55" s="8"/>
      <c r="G55" s="9"/>
      <c r="H55" s="18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"/>
      <c r="T55" s="22"/>
      <c r="U55" s="22"/>
    </row>
    <row r="56" spans="1:21" s="7" customFormat="1" ht="18" customHeight="1" x14ac:dyDescent="0.25">
      <c r="A56" s="8" t="str">
        <f>("800")</f>
        <v>800</v>
      </c>
      <c r="B56" s="8" t="str">
        <f>("201204")</f>
        <v>201204</v>
      </c>
      <c r="C56" s="9" t="s">
        <v>123</v>
      </c>
      <c r="D56" s="9" t="s">
        <v>124</v>
      </c>
      <c r="E56" s="9" t="s">
        <v>125</v>
      </c>
      <c r="F56" s="8" t="s">
        <v>57</v>
      </c>
      <c r="G56" s="9" t="s">
        <v>53</v>
      </c>
      <c r="H56" s="18" t="s">
        <v>126</v>
      </c>
      <c r="I56" s="22">
        <v>5</v>
      </c>
      <c r="J56" s="22">
        <v>3</v>
      </c>
      <c r="K56" s="22">
        <v>5</v>
      </c>
      <c r="L56" s="22">
        <v>0</v>
      </c>
      <c r="M56" s="22">
        <v>2</v>
      </c>
      <c r="N56" s="22">
        <v>3</v>
      </c>
      <c r="O56" s="22">
        <v>2</v>
      </c>
      <c r="P56" s="22">
        <v>11</v>
      </c>
      <c r="Q56" s="22">
        <v>0</v>
      </c>
      <c r="R56" s="22">
        <v>4</v>
      </c>
      <c r="S56" s="3">
        <f>SUM(I56:R56)</f>
        <v>35</v>
      </c>
      <c r="T56" s="22" t="s">
        <v>153</v>
      </c>
      <c r="U56" s="22">
        <v>20</v>
      </c>
    </row>
    <row r="57" spans="1:21" s="7" customFormat="1" ht="18" customHeight="1" x14ac:dyDescent="0.25">
      <c r="A57" s="8"/>
      <c r="B57" s="8"/>
      <c r="C57" s="9"/>
      <c r="D57" s="9"/>
      <c r="E57" s="9"/>
      <c r="F57" s="8"/>
      <c r="G57" s="9"/>
      <c r="H57" s="18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"/>
      <c r="T57" s="22"/>
      <c r="U57" s="22"/>
    </row>
    <row r="58" spans="1:21" s="7" customFormat="1" ht="18" customHeight="1" x14ac:dyDescent="0.25">
      <c r="A58" s="10">
        <v>41</v>
      </c>
      <c r="B58" s="10">
        <v>208372</v>
      </c>
      <c r="C58" s="11" t="s">
        <v>35</v>
      </c>
      <c r="D58" s="11" t="s">
        <v>36</v>
      </c>
      <c r="E58" s="11" t="s">
        <v>159</v>
      </c>
      <c r="F58" s="10" t="s">
        <v>14</v>
      </c>
      <c r="G58" s="11" t="s">
        <v>38</v>
      </c>
      <c r="H58" s="19" t="s">
        <v>0</v>
      </c>
      <c r="I58" s="22">
        <v>0</v>
      </c>
      <c r="J58" s="22">
        <v>1</v>
      </c>
      <c r="K58" s="22">
        <v>1</v>
      </c>
      <c r="L58" s="22">
        <v>2</v>
      </c>
      <c r="M58" s="22">
        <v>4</v>
      </c>
      <c r="N58" s="22">
        <v>7</v>
      </c>
      <c r="O58" s="22">
        <v>0</v>
      </c>
      <c r="P58" s="22">
        <v>5</v>
      </c>
      <c r="Q58" s="22">
        <v>4</v>
      </c>
      <c r="R58" s="22">
        <v>0</v>
      </c>
      <c r="S58" s="3">
        <f>SUM(I58:R58)</f>
        <v>24</v>
      </c>
      <c r="T58" s="22" t="s">
        <v>153</v>
      </c>
      <c r="U58" s="22">
        <v>15</v>
      </c>
    </row>
    <row r="59" spans="1:21" s="7" customFormat="1" ht="18" customHeight="1" x14ac:dyDescent="0.25">
      <c r="A59" s="10"/>
      <c r="B59" s="10"/>
      <c r="C59" s="11"/>
      <c r="D59" s="11"/>
      <c r="E59" s="11"/>
      <c r="F59" s="10"/>
      <c r="G59" s="11"/>
      <c r="H59" s="19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"/>
      <c r="T59" s="22"/>
      <c r="U59" s="22"/>
    </row>
    <row r="60" spans="1:21" s="7" customFormat="1" ht="18" customHeight="1" x14ac:dyDescent="0.25">
      <c r="A60" s="8" t="str">
        <f>("93")</f>
        <v>93</v>
      </c>
      <c r="B60" s="8" t="str">
        <f>("166122")</f>
        <v>166122</v>
      </c>
      <c r="C60" s="9" t="s">
        <v>48</v>
      </c>
      <c r="D60" s="9" t="s">
        <v>52</v>
      </c>
      <c r="E60" s="9" t="s">
        <v>37</v>
      </c>
      <c r="F60" s="8" t="s">
        <v>14</v>
      </c>
      <c r="G60" s="9" t="s">
        <v>53</v>
      </c>
      <c r="H60" s="18" t="s">
        <v>24</v>
      </c>
      <c r="I60" s="22">
        <v>0</v>
      </c>
      <c r="J60" s="22">
        <v>0</v>
      </c>
      <c r="K60" s="22">
        <v>1</v>
      </c>
      <c r="L60" s="22">
        <v>0</v>
      </c>
      <c r="M60" s="22">
        <v>0</v>
      </c>
      <c r="N60" s="22">
        <v>3</v>
      </c>
      <c r="O60" s="22">
        <v>0</v>
      </c>
      <c r="P60" s="22">
        <v>0</v>
      </c>
      <c r="Q60" s="22">
        <v>0</v>
      </c>
      <c r="R60" s="22">
        <v>0</v>
      </c>
      <c r="S60" s="3">
        <f>SUM(I60:R60)</f>
        <v>4</v>
      </c>
      <c r="T60" s="22" t="s">
        <v>153</v>
      </c>
      <c r="U60" s="22">
        <v>20</v>
      </c>
    </row>
    <row r="61" spans="1:21" s="7" customFormat="1" ht="18" customHeight="1" x14ac:dyDescent="0.25">
      <c r="A61" s="8" t="str">
        <f>("392")</f>
        <v>392</v>
      </c>
      <c r="B61" s="8" t="str">
        <f>("204151")</f>
        <v>204151</v>
      </c>
      <c r="C61" s="9" t="s">
        <v>101</v>
      </c>
      <c r="D61" s="9" t="s">
        <v>102</v>
      </c>
      <c r="E61" s="9" t="s">
        <v>37</v>
      </c>
      <c r="F61" s="8" t="s">
        <v>14</v>
      </c>
      <c r="G61" s="9" t="s">
        <v>103</v>
      </c>
      <c r="H61" s="18" t="s">
        <v>0</v>
      </c>
      <c r="I61" s="22">
        <v>0</v>
      </c>
      <c r="J61" s="22">
        <v>0</v>
      </c>
      <c r="K61" s="22">
        <v>6</v>
      </c>
      <c r="L61" s="22">
        <v>5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2</v>
      </c>
      <c r="S61" s="3">
        <f>SUM(I61:R61)</f>
        <v>13</v>
      </c>
      <c r="T61" s="22" t="s">
        <v>154</v>
      </c>
      <c r="U61" s="22">
        <v>17</v>
      </c>
    </row>
    <row r="62" spans="1:21" s="7" customFormat="1" ht="18" customHeight="1" x14ac:dyDescent="0.25">
      <c r="A62" s="24"/>
      <c r="B62" s="24"/>
      <c r="C62" s="25"/>
      <c r="D62" s="25"/>
      <c r="E62" s="25"/>
      <c r="F62" s="24"/>
      <c r="G62" s="25"/>
      <c r="H62" s="25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"/>
      <c r="T62" s="22"/>
      <c r="U62" s="22"/>
    </row>
    <row r="63" spans="1:21" s="7" customFormat="1" x14ac:dyDescent="0.25">
      <c r="A63" s="12" t="str">
        <f>("810")</f>
        <v>810</v>
      </c>
      <c r="B63" s="12" t="str">
        <f>("191656")</f>
        <v>191656</v>
      </c>
      <c r="C63" s="13" t="s">
        <v>134</v>
      </c>
      <c r="D63" s="13" t="s">
        <v>127</v>
      </c>
      <c r="E63" s="13" t="s">
        <v>104</v>
      </c>
      <c r="F63" s="12" t="s">
        <v>11</v>
      </c>
      <c r="G63" s="13" t="s">
        <v>38</v>
      </c>
      <c r="H63" s="20" t="s">
        <v>24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3">
        <f>SUM(I63:R63)</f>
        <v>0</v>
      </c>
      <c r="T63" s="22" t="s">
        <v>153</v>
      </c>
      <c r="U63" s="22">
        <v>20</v>
      </c>
    </row>
  </sheetData>
  <sortState xmlns:xlrd2="http://schemas.microsoft.com/office/spreadsheetml/2017/richdata2" ref="A48:T54">
    <sortCondition ref="S48:S54"/>
  </sortState>
  <mergeCells count="5">
    <mergeCell ref="A1:H1"/>
    <mergeCell ref="A3:H3"/>
    <mergeCell ref="A5:H5"/>
    <mergeCell ref="A7:H7"/>
    <mergeCell ref="C9:D9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2022-08-30T10:43:01Z</cp:lastPrinted>
  <dcterms:created xsi:type="dcterms:W3CDTF">2022-08-24T19:35:18Z</dcterms:created>
  <dcterms:modified xsi:type="dcterms:W3CDTF">2022-08-30T11:07:16Z</dcterms:modified>
</cp:coreProperties>
</file>